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80" activeTab="0"/>
  </bookViews>
  <sheets>
    <sheet name="Catering Worksheet" sheetId="1" r:id="rId1"/>
  </sheets>
  <definedNames>
    <definedName name="_xlnm.Print_Area" localSheetId="0">'Catering Worksheet'!$A$2:$M$21</definedName>
  </definedNames>
  <calcPr fullCalcOnLoad="1"/>
</workbook>
</file>

<file path=xl/comments1.xml><?xml version="1.0" encoding="utf-8"?>
<comments xmlns="http://schemas.openxmlformats.org/spreadsheetml/2006/main">
  <authors>
    <author>Mike Trump</author>
  </authors>
  <commentList>
    <comment ref="D6" authorId="0">
      <text>
        <r>
          <rPr>
            <b/>
            <sz val="8"/>
            <color indexed="12"/>
            <rFont val="Tahoma"/>
            <family val="2"/>
          </rPr>
          <t xml:space="preserve">Enter the cost per unit from your supplier or from your own calculations.  </t>
        </r>
      </text>
    </comment>
    <comment ref="E6" authorId="0">
      <text>
        <r>
          <rPr>
            <b/>
            <sz val="8"/>
            <color indexed="12"/>
            <rFont val="Tahoma"/>
            <family val="2"/>
          </rPr>
          <t>This cost includes your sales tax paid on goods purchased.</t>
        </r>
      </text>
    </comment>
    <comment ref="G6" authorId="0">
      <text>
        <r>
          <rPr>
            <b/>
            <sz val="8"/>
            <color indexed="12"/>
            <rFont val="Tahoma"/>
            <family val="2"/>
          </rPr>
          <t>Retail cost to customer.  Includes sales tax.</t>
        </r>
      </text>
    </comment>
    <comment ref="H6" authorId="0">
      <text>
        <r>
          <rPr>
            <b/>
            <sz val="8"/>
            <color indexed="12"/>
            <rFont val="Tahoma"/>
            <family val="2"/>
          </rPr>
          <t>This is the amount per measure that you charge your customer.  For example, $10 per pound for Pulled Pork or $6 per quart of Baked Beans.</t>
        </r>
      </text>
    </comment>
    <comment ref="B6" authorId="0">
      <text>
        <r>
          <rPr>
            <b/>
            <sz val="8"/>
            <color indexed="12"/>
            <rFont val="Tahoma"/>
            <family val="2"/>
          </rPr>
          <t>This figure is the target amount of raw meat that you should start with given your stated Meat Retention figure.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This is the total post-cook serving size in pounds.  For example, if a quarter pound of two kinds of meat are needed, then enter 0.5 in this field for a total of 1/2 pound.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>This figure comes from taking the post cooked weight and dividing it by the pre-cooked, trimed weight.  Calculated below in Meat Retention Calculator</t>
        </r>
      </text>
    </comment>
    <comment ref="A8" authorId="0">
      <text>
        <r>
          <rPr>
            <b/>
            <sz val="8"/>
            <color indexed="10"/>
            <rFont val="Tahoma"/>
            <family val="2"/>
          </rPr>
          <t>This assumes you are selling both sliced brisket and burnt ends for the same event.  The Gross Profit is also set accordlingly.</t>
        </r>
      </text>
    </comment>
    <comment ref="A9" authorId="0">
      <text>
        <r>
          <rPr>
            <b/>
            <sz val="8"/>
            <color indexed="10"/>
            <rFont val="Tahoma"/>
            <family val="2"/>
          </rPr>
          <t>This assumes you are purchasing whole briskets but selling only the points.  Gross Profit also reflects this.  However, your costs will be recouped when the flats are sold.</t>
        </r>
      </text>
    </comment>
    <comment ref="A10" authorId="0">
      <text>
        <r>
          <rPr>
            <b/>
            <sz val="8"/>
            <color indexed="10"/>
            <rFont val="Tahoma"/>
            <family val="2"/>
          </rPr>
          <t>This assumes you are purchasing whole briskets but selling only the flats  Gross Profit also reflects this.  However, your costs will be recouped when the points are sold.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This assumes you are purchasing untrimmed flats and selling sliced brisket only.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This is blank because retail cost on this item is really a combination of both Sliced Brisket prices and Burnt End prices.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Retail cost reflects both Sliced Brisket and Burnt End prices as well as cooked weight of both.</t>
        </r>
      </text>
    </comment>
  </commentList>
</comments>
</file>

<file path=xl/sharedStrings.xml><?xml version="1.0" encoding="utf-8"?>
<sst xmlns="http://schemas.openxmlformats.org/spreadsheetml/2006/main" count="74" uniqueCount="53">
  <si>
    <t>Number of People</t>
  </si>
  <si>
    <t>Cut of Meat</t>
  </si>
  <si>
    <t>Pulled Pork</t>
  </si>
  <si>
    <t>Retail Cost</t>
  </si>
  <si>
    <t>Cost per Person</t>
  </si>
  <si>
    <t>Number of Meat Choices</t>
  </si>
  <si>
    <t>Spare Ribs</t>
  </si>
  <si>
    <t>lbs</t>
  </si>
  <si>
    <t>quarts</t>
  </si>
  <si>
    <t>Gross Profit</t>
  </si>
  <si>
    <t>Quarts of Baked Beans</t>
  </si>
  <si>
    <t>Chopped Brisket (Chuck Roll)</t>
  </si>
  <si>
    <t>Raw Meat Amount Needed</t>
  </si>
  <si>
    <t>My Cost per Measure</t>
  </si>
  <si>
    <t>My Total Cost</t>
  </si>
  <si>
    <t>oz.</t>
  </si>
  <si>
    <t>cup</t>
  </si>
  <si>
    <t>Percent Meat Retained</t>
  </si>
  <si>
    <t>Retail Cost per Measure</t>
  </si>
  <si>
    <t>Pints of BBQ Sauce</t>
  </si>
  <si>
    <t>pints</t>
  </si>
  <si>
    <t>Pounds of Cole Slaw</t>
  </si>
  <si>
    <t>Pounds of Potato Salad</t>
  </si>
  <si>
    <t>Total Portion Size (lbs.)</t>
  </si>
  <si>
    <t>Local Sales Tax</t>
  </si>
  <si>
    <t>slabs</t>
  </si>
  <si>
    <t>slab</t>
  </si>
  <si>
    <t>Profit Margin</t>
  </si>
  <si>
    <t>Sliced Brisket + Burnt Ends</t>
  </si>
  <si>
    <t>Sliced Brisket Only (Un-trimmed Flat)</t>
  </si>
  <si>
    <t>Flat</t>
  </si>
  <si>
    <t>Point</t>
  </si>
  <si>
    <t>Butt</t>
  </si>
  <si>
    <t>Green Weight</t>
  </si>
  <si>
    <t>Post Trim Weight</t>
  </si>
  <si>
    <t>Trim Losses</t>
  </si>
  <si>
    <t>Post Trim % Retained</t>
  </si>
  <si>
    <t>Cooked Weight</t>
  </si>
  <si>
    <t>Retention</t>
  </si>
  <si>
    <t>Meat Retention Calculator</t>
  </si>
  <si>
    <t>Average Percent Retained</t>
  </si>
  <si>
    <t>Hamburger Buns</t>
  </si>
  <si>
    <t>16-packs</t>
  </si>
  <si>
    <t>buns</t>
  </si>
  <si>
    <t>Per-Person Serving Size</t>
  </si>
  <si>
    <t>Whole  Brisket</t>
  </si>
  <si>
    <t>Burnt Ends Only (Point off the Packer)</t>
  </si>
  <si>
    <t>Sliced Brisket Only (Flat off the Packer)</t>
  </si>
  <si>
    <t>Chopped Brisket (Entire Packer)</t>
  </si>
  <si>
    <t>Post Cook Measure</t>
  </si>
  <si>
    <t>Measure Unit</t>
  </si>
  <si>
    <t>-------------   Extra Meat   ---------------</t>
  </si>
  <si>
    <t>-------------   Extra Side   ---------------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</si>
</sst>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\ ?/4"/>
    <numFmt numFmtId="172" formatCode="#\ ??/16"/>
    <numFmt numFmtId="173" formatCode="_(&quot;$&quot;* #,##0.000_);_(&quot;$&quot;* \(#,##0.000\);_(&quot;$&quot;* &quot;-&quot;???_);_(@_)"/>
    <numFmt numFmtId="174" formatCode="#\ ?/8"/>
    <numFmt numFmtId="175" formatCode="#\ ?/2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%"/>
    <numFmt numFmtId="182" formatCode="0.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Tahoma"/>
      <family val="2"/>
    </font>
    <font>
      <b/>
      <sz val="11"/>
      <name val="Garamond"/>
      <family val="1"/>
    </font>
    <font>
      <b/>
      <sz val="11"/>
      <color indexed="12"/>
      <name val="Garamond"/>
      <family val="1"/>
    </font>
    <font>
      <b/>
      <sz val="11"/>
      <color indexed="17"/>
      <name val="Garamond"/>
      <family val="1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/>
      <protection locked="0"/>
    </xf>
    <xf numFmtId="12" fontId="6" fillId="0" borderId="1" xfId="0" applyNumberFormat="1" applyFont="1" applyBorder="1" applyAlignment="1" applyProtection="1">
      <alignment horizontal="center"/>
      <protection locked="0"/>
    </xf>
    <xf numFmtId="44" fontId="6" fillId="0" borderId="2" xfId="17" applyFont="1" applyBorder="1" applyAlignment="1" applyProtection="1">
      <alignment/>
      <protection locked="0"/>
    </xf>
    <xf numFmtId="44" fontId="6" fillId="0" borderId="2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168" fontId="4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44" fontId="5" fillId="0" borderId="2" xfId="17" applyFont="1" applyBorder="1" applyAlignment="1" applyProtection="1">
      <alignment/>
      <protection hidden="1"/>
    </xf>
    <xf numFmtId="164" fontId="5" fillId="0" borderId="2" xfId="17" applyNumberFormat="1" applyFont="1" applyBorder="1" applyAlignment="1" applyProtection="1">
      <alignment horizontal="center"/>
      <protection hidden="1"/>
    </xf>
    <xf numFmtId="44" fontId="5" fillId="0" borderId="2" xfId="0" applyNumberFormat="1" applyFont="1" applyBorder="1" applyAlignment="1" applyProtection="1">
      <alignment/>
      <protection hidden="1"/>
    </xf>
    <xf numFmtId="1" fontId="5" fillId="0" borderId="2" xfId="17" applyNumberFormat="1" applyFont="1" applyBorder="1" applyAlignment="1" applyProtection="1">
      <alignment horizontal="center"/>
      <protection hidden="1"/>
    </xf>
    <xf numFmtId="9" fontId="5" fillId="0" borderId="2" xfId="21" applyFont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/>
      <protection hidden="1"/>
    </xf>
    <xf numFmtId="12" fontId="5" fillId="0" borderId="3" xfId="0" applyNumberFormat="1" applyFont="1" applyBorder="1" applyAlignment="1" applyProtection="1">
      <alignment horizontal="center"/>
      <protection hidden="1"/>
    </xf>
    <xf numFmtId="175" fontId="5" fillId="0" borderId="3" xfId="0" applyNumberFormat="1" applyFont="1" applyBorder="1" applyAlignment="1" applyProtection="1">
      <alignment horizontal="center"/>
      <protection hidden="1"/>
    </xf>
    <xf numFmtId="174" fontId="5" fillId="0" borderId="3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9" fontId="5" fillId="0" borderId="2" xfId="21" applyFont="1" applyBorder="1" applyAlignment="1" applyProtection="1">
      <alignment/>
      <protection hidden="1"/>
    </xf>
    <xf numFmtId="9" fontId="5" fillId="0" borderId="2" xfId="0" applyNumberFormat="1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/>
      <protection locked="0"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workbookViewId="0" topLeftCell="A1">
      <pane ySplit="3" topLeftCell="BM7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37.28125" style="6" customWidth="1"/>
    <col min="2" max="11" width="13.7109375" style="6" customWidth="1"/>
    <col min="12" max="12" width="7.28125" style="6" customWidth="1"/>
    <col min="13" max="13" width="7.140625" style="6" customWidth="1"/>
    <col min="14" max="16384" width="9.140625" style="6" customWidth="1"/>
  </cols>
  <sheetData>
    <row r="1" ht="17.25" customHeight="1"/>
    <row r="2" spans="1:5" s="8" customFormat="1" ht="41.25" customHeight="1">
      <c r="A2" s="7" t="s">
        <v>0</v>
      </c>
      <c r="B2" s="7" t="s">
        <v>5</v>
      </c>
      <c r="C2" s="7" t="s">
        <v>23</v>
      </c>
      <c r="D2" s="7" t="s">
        <v>17</v>
      </c>
      <c r="E2" s="7" t="s">
        <v>24</v>
      </c>
    </row>
    <row r="3" spans="1:13" ht="17.25" customHeight="1">
      <c r="A3" s="1">
        <v>25</v>
      </c>
      <c r="B3" s="1">
        <v>1</v>
      </c>
      <c r="C3" s="2">
        <v>0.5</v>
      </c>
      <c r="D3" s="14">
        <f>F33</f>
        <v>0.622</v>
      </c>
      <c r="E3" s="13">
        <v>0.0825</v>
      </c>
      <c r="F3" s="9"/>
      <c r="G3" s="10"/>
      <c r="H3" s="10"/>
      <c r="I3" s="10"/>
      <c r="J3" s="10"/>
      <c r="K3" s="10"/>
      <c r="L3" s="10"/>
      <c r="M3" s="10"/>
    </row>
    <row r="4" ht="17.25" customHeight="1"/>
    <row r="5" ht="17.25" customHeight="1"/>
    <row r="6" spans="1:13" ht="48.75" customHeight="1">
      <c r="A6" s="28" t="s">
        <v>1</v>
      </c>
      <c r="B6" s="28" t="s">
        <v>12</v>
      </c>
      <c r="C6" s="28" t="s">
        <v>50</v>
      </c>
      <c r="D6" s="28" t="s">
        <v>13</v>
      </c>
      <c r="E6" s="28" t="s">
        <v>14</v>
      </c>
      <c r="F6" s="28" t="s">
        <v>49</v>
      </c>
      <c r="G6" s="28" t="s">
        <v>3</v>
      </c>
      <c r="H6" s="28" t="s">
        <v>18</v>
      </c>
      <c r="I6" s="28" t="s">
        <v>9</v>
      </c>
      <c r="J6" s="28" t="s">
        <v>27</v>
      </c>
      <c r="K6" s="28" t="s">
        <v>4</v>
      </c>
      <c r="L6" s="42" t="s">
        <v>44</v>
      </c>
      <c r="M6" s="43"/>
    </row>
    <row r="7" spans="1:13" ht="17.25" customHeight="1">
      <c r="A7" s="11" t="s">
        <v>2</v>
      </c>
      <c r="B7" s="15">
        <f>IF($E$33&gt;0,($A$3*$C$3/$E$33)/$B$3/$E$31,0)</f>
        <v>19.26040061633282</v>
      </c>
      <c r="C7" s="16" t="s">
        <v>7</v>
      </c>
      <c r="D7" s="3">
        <v>1.33</v>
      </c>
      <c r="E7" s="18">
        <f aca="true" t="shared" si="0" ref="E7:E19">(D7*B7)*(1+$E$3)</f>
        <v>27.729680277349768</v>
      </c>
      <c r="F7" s="19">
        <f>B7*$E$33*E31</f>
        <v>12.5</v>
      </c>
      <c r="G7" s="20">
        <f>(H7*F7)*(1+$E$3)</f>
        <v>131.9296875</v>
      </c>
      <c r="H7" s="4">
        <v>9.75</v>
      </c>
      <c r="I7" s="20">
        <f aca="true" t="shared" si="1" ref="I7:I13">G7-E7</f>
        <v>104.20000722265023</v>
      </c>
      <c r="J7" s="22">
        <f>IF(E7&gt;0,I7/E7,0)</f>
        <v>3.7577067669172934</v>
      </c>
      <c r="K7" s="20">
        <f aca="true" t="shared" si="2" ref="K7:K13">G7/$A$3</f>
        <v>5.2771875</v>
      </c>
      <c r="L7" s="23">
        <f aca="true" t="shared" si="3" ref="L7:L13">F7/$A$3*16</f>
        <v>8</v>
      </c>
      <c r="M7" s="24" t="s">
        <v>15</v>
      </c>
    </row>
    <row r="8" spans="1:13" ht="17.25" customHeight="1">
      <c r="A8" s="11" t="s">
        <v>28</v>
      </c>
      <c r="B8" s="15">
        <f>IF($B$33&gt;0,(($A$3*$C$3/$B$33)/$B$3)/$B$31,0)</f>
        <v>24.68672545398888</v>
      </c>
      <c r="C8" s="16" t="s">
        <v>7</v>
      </c>
      <c r="D8" s="3">
        <v>1.42</v>
      </c>
      <c r="E8" s="18">
        <f t="shared" si="0"/>
        <v>37.94720003159901</v>
      </c>
      <c r="F8" s="19">
        <f>B8*$B$33*B31</f>
        <v>12.5</v>
      </c>
      <c r="G8" s="20">
        <f>((F8*0.65*H10)+(F8*0.35*H9))*(1+$E$3)</f>
        <v>144.953515625</v>
      </c>
      <c r="H8" s="3">
        <v>0</v>
      </c>
      <c r="I8" s="20">
        <f t="shared" si="1"/>
        <v>107.00631559340098</v>
      </c>
      <c r="J8" s="22">
        <f>IF(E8&gt;0,I8/E8,0)</f>
        <v>2.819873811619718</v>
      </c>
      <c r="K8" s="20">
        <f t="shared" si="2"/>
        <v>5.798140624999999</v>
      </c>
      <c r="L8" s="23">
        <f t="shared" si="3"/>
        <v>8</v>
      </c>
      <c r="M8" s="24" t="s">
        <v>15</v>
      </c>
    </row>
    <row r="9" spans="1:13" ht="17.25" customHeight="1">
      <c r="A9" s="11" t="s">
        <v>46</v>
      </c>
      <c r="B9" s="15">
        <f>IF($D$33&gt;0,((($A$3*$C$3/$D$33)/$B$3)/$D$31),0)</f>
        <v>94.38592517083852</v>
      </c>
      <c r="C9" s="16" t="s">
        <v>7</v>
      </c>
      <c r="D9" s="3">
        <v>1.42</v>
      </c>
      <c r="E9" s="18">
        <f t="shared" si="0"/>
        <v>145.08532487635443</v>
      </c>
      <c r="F9" s="19">
        <f>(B9*$D$31)*$D$33</f>
        <v>12.499999999999998</v>
      </c>
      <c r="G9" s="20">
        <f aca="true" t="shared" si="4" ref="G9:G21">(H9*F9)*(1+$E$3)</f>
        <v>169.14062499999997</v>
      </c>
      <c r="H9" s="4">
        <v>12.5</v>
      </c>
      <c r="I9" s="20">
        <f t="shared" si="1"/>
        <v>24.055300123645537</v>
      </c>
      <c r="J9" s="22">
        <f>IF(E9&gt;0,I9/E9,0)</f>
        <v>0.165801056338028</v>
      </c>
      <c r="K9" s="20">
        <f t="shared" si="2"/>
        <v>6.765624999999999</v>
      </c>
      <c r="L9" s="23">
        <f t="shared" si="3"/>
        <v>7.999999999999999</v>
      </c>
      <c r="M9" s="24" t="s">
        <v>15</v>
      </c>
    </row>
    <row r="10" spans="1:13" ht="17.25" customHeight="1">
      <c r="A10" s="11" t="s">
        <v>47</v>
      </c>
      <c r="B10" s="15">
        <f>IF($C$33&gt;0,((($A$3*$C$3/$C$33)/$B$3)/$C$31),0)</f>
        <v>41.1725955204216</v>
      </c>
      <c r="C10" s="16" t="s">
        <v>7</v>
      </c>
      <c r="D10" s="3">
        <v>1.42</v>
      </c>
      <c r="E10" s="18">
        <f t="shared" si="0"/>
        <v>63.28845520421606</v>
      </c>
      <c r="F10" s="19">
        <f>(B10*$C$31)*$C$33</f>
        <v>12.5</v>
      </c>
      <c r="G10" s="20">
        <f t="shared" si="4"/>
        <v>131.9296875</v>
      </c>
      <c r="H10" s="4">
        <v>9.75</v>
      </c>
      <c r="I10" s="20">
        <f t="shared" si="1"/>
        <v>68.64123229578394</v>
      </c>
      <c r="J10" s="22">
        <f aca="true" t="shared" si="5" ref="J10:J21">IF(E10&gt;0,I10/E10,0)</f>
        <v>1.0845774647887327</v>
      </c>
      <c r="K10" s="20">
        <f t="shared" si="2"/>
        <v>5.2771875</v>
      </c>
      <c r="L10" s="23">
        <f t="shared" si="3"/>
        <v>8</v>
      </c>
      <c r="M10" s="24" t="s">
        <v>15</v>
      </c>
    </row>
    <row r="11" spans="1:13" ht="17.25" customHeight="1">
      <c r="A11" s="11" t="s">
        <v>29</v>
      </c>
      <c r="B11" s="15">
        <f>IF($C$33&gt;0,($A$3*$C$3/$C$33)/$B$3,0)</f>
        <v>18.939393939393938</v>
      </c>
      <c r="C11" s="16" t="s">
        <v>7</v>
      </c>
      <c r="D11" s="3">
        <v>2.53</v>
      </c>
      <c r="E11" s="18">
        <f t="shared" si="0"/>
        <v>51.86979166666666</v>
      </c>
      <c r="F11" s="19">
        <f>B11*$C$33</f>
        <v>12.5</v>
      </c>
      <c r="G11" s="20">
        <f t="shared" si="4"/>
        <v>131.9296875</v>
      </c>
      <c r="H11" s="4">
        <v>9.75</v>
      </c>
      <c r="I11" s="20">
        <f t="shared" si="1"/>
        <v>80.05989583333334</v>
      </c>
      <c r="J11" s="22">
        <f t="shared" si="5"/>
        <v>1.5434782608695656</v>
      </c>
      <c r="K11" s="20">
        <f t="shared" si="2"/>
        <v>5.2771875</v>
      </c>
      <c r="L11" s="23">
        <f t="shared" si="3"/>
        <v>8</v>
      </c>
      <c r="M11" s="24" t="s">
        <v>15</v>
      </c>
    </row>
    <row r="12" spans="1:13" ht="17.25" customHeight="1">
      <c r="A12" s="11" t="s">
        <v>11</v>
      </c>
      <c r="B12" s="15">
        <f>($A$3*$C$3/$D$3)/$B$3</f>
        <v>20.09646302250804</v>
      </c>
      <c r="C12" s="16" t="s">
        <v>7</v>
      </c>
      <c r="D12" s="3">
        <v>2.06</v>
      </c>
      <c r="E12" s="18">
        <f t="shared" si="0"/>
        <v>44.8141077170418</v>
      </c>
      <c r="F12" s="19">
        <f>B12*$D$3</f>
        <v>12.5</v>
      </c>
      <c r="G12" s="20">
        <f t="shared" si="4"/>
        <v>131.9296875</v>
      </c>
      <c r="H12" s="4">
        <v>9.75</v>
      </c>
      <c r="I12" s="20">
        <f t="shared" si="1"/>
        <v>87.1155797829582</v>
      </c>
      <c r="J12" s="22">
        <f t="shared" si="5"/>
        <v>1.9439320388349517</v>
      </c>
      <c r="K12" s="20">
        <f t="shared" si="2"/>
        <v>5.2771875</v>
      </c>
      <c r="L12" s="23">
        <f t="shared" si="3"/>
        <v>8</v>
      </c>
      <c r="M12" s="24" t="s">
        <v>15</v>
      </c>
    </row>
    <row r="13" spans="1:13" ht="17.25" customHeight="1">
      <c r="A13" s="11" t="s">
        <v>48</v>
      </c>
      <c r="B13" s="15">
        <f>IF($B$33&gt;0,($A$3*$C$3/$B$33)/$B$3/$B$31,0)</f>
        <v>24.68672545398888</v>
      </c>
      <c r="C13" s="16" t="s">
        <v>7</v>
      </c>
      <c r="D13" s="3">
        <v>1.43</v>
      </c>
      <c r="E13" s="18">
        <f t="shared" si="0"/>
        <v>38.214433834638434</v>
      </c>
      <c r="F13" s="19">
        <f>B13*$B$33*B31</f>
        <v>12.5</v>
      </c>
      <c r="G13" s="20">
        <f t="shared" si="4"/>
        <v>131.9296875</v>
      </c>
      <c r="H13" s="4">
        <v>9.75</v>
      </c>
      <c r="I13" s="20">
        <f t="shared" si="1"/>
        <v>93.71525366536156</v>
      </c>
      <c r="J13" s="22">
        <f t="shared" si="5"/>
        <v>2.452352272727273</v>
      </c>
      <c r="K13" s="20">
        <f t="shared" si="2"/>
        <v>5.2771875</v>
      </c>
      <c r="L13" s="23">
        <f t="shared" si="3"/>
        <v>8</v>
      </c>
      <c r="M13" s="24" t="s">
        <v>15</v>
      </c>
    </row>
    <row r="14" spans="1:13" ht="17.25" customHeight="1">
      <c r="A14" s="37" t="s">
        <v>51</v>
      </c>
      <c r="B14" s="15">
        <f>($A$3*$C$3/$D$3)/$B$3</f>
        <v>20.09646302250804</v>
      </c>
      <c r="C14" s="16" t="s">
        <v>7</v>
      </c>
      <c r="D14" s="3">
        <v>1.43</v>
      </c>
      <c r="E14" s="18">
        <f>(D14*B14)*(1+$E$3)</f>
        <v>31.108822347266884</v>
      </c>
      <c r="F14" s="19">
        <f>B14*$D$3</f>
        <v>12.5</v>
      </c>
      <c r="G14" s="20">
        <f>(H14*F14)*(1+$E$3)</f>
        <v>131.9296875</v>
      </c>
      <c r="H14" s="4">
        <v>9.75</v>
      </c>
      <c r="I14" s="20">
        <f>G14-E14</f>
        <v>100.82086515273312</v>
      </c>
      <c r="J14" s="22">
        <f t="shared" si="5"/>
        <v>3.2409090909090907</v>
      </c>
      <c r="K14" s="20">
        <f>G14/$A$3</f>
        <v>5.2771875</v>
      </c>
      <c r="L14" s="23">
        <f>F14/$A$3*16</f>
        <v>8</v>
      </c>
      <c r="M14" s="24" t="s">
        <v>15</v>
      </c>
    </row>
    <row r="15" spans="1:13" ht="17.25" customHeight="1">
      <c r="A15" s="11" t="s">
        <v>6</v>
      </c>
      <c r="B15" s="16">
        <f>IF($B$3=1,$A$3/2,IF($B$3=2,($A$3/3),IF($B$3&gt;=3,($A$3/4),"Too Many Meat Choices")))</f>
        <v>12.5</v>
      </c>
      <c r="C15" s="16" t="s">
        <v>25</v>
      </c>
      <c r="D15" s="3">
        <v>6.45</v>
      </c>
      <c r="E15" s="18">
        <f t="shared" si="0"/>
        <v>87.2765625</v>
      </c>
      <c r="F15" s="21">
        <f aca="true" t="shared" si="6" ref="F15:F21">B15</f>
        <v>12.5</v>
      </c>
      <c r="G15" s="20">
        <f t="shared" si="4"/>
        <v>215.8234375</v>
      </c>
      <c r="H15" s="4">
        <v>15.95</v>
      </c>
      <c r="I15" s="20">
        <f>(G15/(1+$E$3))-E15</f>
        <v>112.0984375</v>
      </c>
      <c r="J15" s="22">
        <f t="shared" si="5"/>
        <v>1.2844048194496662</v>
      </c>
      <c r="K15" s="20">
        <f aca="true" t="shared" si="7" ref="K15:K21">G15/$A$3</f>
        <v>8.6329375</v>
      </c>
      <c r="L15" s="25">
        <f>B15/$A$3</f>
        <v>0.5</v>
      </c>
      <c r="M15" s="24" t="s">
        <v>26</v>
      </c>
    </row>
    <row r="16" spans="1:13" ht="17.25" customHeight="1">
      <c r="A16" s="11" t="s">
        <v>10</v>
      </c>
      <c r="B16" s="16">
        <f>ROUND(($A$3/30*4),0)</f>
        <v>3</v>
      </c>
      <c r="C16" s="17" t="s">
        <v>8</v>
      </c>
      <c r="D16" s="3">
        <v>2.5</v>
      </c>
      <c r="E16" s="18">
        <f t="shared" si="0"/>
        <v>8.11875</v>
      </c>
      <c r="F16" s="21">
        <f t="shared" si="6"/>
        <v>3</v>
      </c>
      <c r="G16" s="20">
        <f t="shared" si="4"/>
        <v>20.296875</v>
      </c>
      <c r="H16" s="4">
        <v>6.25</v>
      </c>
      <c r="I16" s="20">
        <f>(G16/(1+$E$3))-E16</f>
        <v>10.63125</v>
      </c>
      <c r="J16" s="22">
        <f t="shared" si="5"/>
        <v>1.3094688221709005</v>
      </c>
      <c r="K16" s="20">
        <f t="shared" si="7"/>
        <v>0.811875</v>
      </c>
      <c r="L16" s="26">
        <f>B16*32/$A$3/8</f>
        <v>0.48</v>
      </c>
      <c r="M16" s="24" t="s">
        <v>16</v>
      </c>
    </row>
    <row r="17" spans="1:13" ht="17.25" customHeight="1">
      <c r="A17" s="37" t="s">
        <v>52</v>
      </c>
      <c r="B17" s="16">
        <f>ROUND(($A$3/30*4),0)</f>
        <v>3</v>
      </c>
      <c r="C17" s="17" t="s">
        <v>8</v>
      </c>
      <c r="D17" s="3">
        <v>2.5</v>
      </c>
      <c r="E17" s="18">
        <f>(D17*B17)*(1+$E$3)</f>
        <v>8.11875</v>
      </c>
      <c r="F17" s="21">
        <f>B17</f>
        <v>3</v>
      </c>
      <c r="G17" s="20">
        <f>(H17*F17)*(1+$E$3)</f>
        <v>23.544375</v>
      </c>
      <c r="H17" s="4">
        <v>7.25</v>
      </c>
      <c r="I17" s="20">
        <f>(G17/(1+$E$3))-E17</f>
        <v>13.63125</v>
      </c>
      <c r="J17" s="22">
        <f t="shared" si="5"/>
        <v>1.6789838337182448</v>
      </c>
      <c r="K17" s="20">
        <f>G17/$A$3</f>
        <v>0.9417749999999999</v>
      </c>
      <c r="L17" s="26">
        <f>B17*32/$A$3/8</f>
        <v>0.48</v>
      </c>
      <c r="M17" s="24" t="s">
        <v>16</v>
      </c>
    </row>
    <row r="18" spans="1:13" ht="17.25" customHeight="1">
      <c r="A18" s="11" t="s">
        <v>21</v>
      </c>
      <c r="B18" s="15">
        <f>ROUND(($A$3/4),1)</f>
        <v>6.3</v>
      </c>
      <c r="C18" s="17" t="s">
        <v>7</v>
      </c>
      <c r="D18" s="3">
        <v>0.63</v>
      </c>
      <c r="E18" s="18">
        <f t="shared" si="0"/>
        <v>4.2964424999999995</v>
      </c>
      <c r="F18" s="21">
        <f t="shared" si="6"/>
        <v>6.3</v>
      </c>
      <c r="G18" s="20">
        <f t="shared" si="4"/>
        <v>17.049375</v>
      </c>
      <c r="H18" s="4">
        <v>2.5</v>
      </c>
      <c r="I18" s="20">
        <f>G18-E18</f>
        <v>12.752932500000002</v>
      </c>
      <c r="J18" s="22">
        <f t="shared" si="5"/>
        <v>2.968253968253969</v>
      </c>
      <c r="K18" s="20">
        <f t="shared" si="7"/>
        <v>0.681975</v>
      </c>
      <c r="L18" s="26">
        <f>B18/$A$3*2</f>
        <v>0.504</v>
      </c>
      <c r="M18" s="24" t="s">
        <v>16</v>
      </c>
    </row>
    <row r="19" spans="1:13" ht="17.25" customHeight="1">
      <c r="A19" s="11" t="s">
        <v>22</v>
      </c>
      <c r="B19" s="15">
        <f>ROUND(($A$3/3.6),1)</f>
        <v>6.9</v>
      </c>
      <c r="C19" s="17" t="s">
        <v>7</v>
      </c>
      <c r="D19" s="3">
        <v>0.63</v>
      </c>
      <c r="E19" s="18">
        <f t="shared" si="0"/>
        <v>4.7056275</v>
      </c>
      <c r="F19" s="21">
        <f t="shared" si="6"/>
        <v>6.9</v>
      </c>
      <c r="G19" s="20">
        <f t="shared" si="4"/>
        <v>18.673125</v>
      </c>
      <c r="H19" s="4">
        <v>2.5</v>
      </c>
      <c r="I19" s="20">
        <f>G19-E19</f>
        <v>13.967497499999999</v>
      </c>
      <c r="J19" s="22">
        <f t="shared" si="5"/>
        <v>2.968253968253968</v>
      </c>
      <c r="K19" s="20">
        <f t="shared" si="7"/>
        <v>0.746925</v>
      </c>
      <c r="L19" s="26">
        <f>B19/$A$3*2</f>
        <v>0.552</v>
      </c>
      <c r="M19" s="24" t="s">
        <v>16</v>
      </c>
    </row>
    <row r="20" spans="1:13" ht="17.25" customHeight="1">
      <c r="A20" s="11" t="s">
        <v>41</v>
      </c>
      <c r="B20" s="15">
        <f>ROUND((($A$3*1.5)/16),1)</f>
        <v>2.3</v>
      </c>
      <c r="C20" s="17" t="s">
        <v>42</v>
      </c>
      <c r="D20" s="3">
        <v>1.56</v>
      </c>
      <c r="E20" s="18">
        <f>D20*B20</f>
        <v>3.5879999999999996</v>
      </c>
      <c r="F20" s="19">
        <f t="shared" si="6"/>
        <v>2.3</v>
      </c>
      <c r="G20" s="20">
        <f>(H20*F20)*(1+$E$3)</f>
        <v>11.203875</v>
      </c>
      <c r="H20" s="4">
        <v>4.5</v>
      </c>
      <c r="I20" s="20">
        <f>G20-E20</f>
        <v>7.615875000000001</v>
      </c>
      <c r="J20" s="22">
        <f t="shared" si="5"/>
        <v>2.122596153846154</v>
      </c>
      <c r="K20" s="20">
        <f t="shared" si="7"/>
        <v>0.448155</v>
      </c>
      <c r="L20" s="26">
        <f>B20*16/$A$3</f>
        <v>1.472</v>
      </c>
      <c r="M20" s="24" t="s">
        <v>43</v>
      </c>
    </row>
    <row r="21" spans="1:13" ht="17.25" customHeight="1">
      <c r="A21" s="11" t="s">
        <v>19</v>
      </c>
      <c r="B21" s="16">
        <f>ROUND((($A$3*1.28)/16),0)</f>
        <v>2</v>
      </c>
      <c r="C21" s="17" t="s">
        <v>20</v>
      </c>
      <c r="D21" s="3">
        <v>2</v>
      </c>
      <c r="E21" s="18">
        <f>D21*B21</f>
        <v>4</v>
      </c>
      <c r="F21" s="21">
        <f t="shared" si="6"/>
        <v>2</v>
      </c>
      <c r="G21" s="20">
        <f t="shared" si="4"/>
        <v>11.9075</v>
      </c>
      <c r="H21" s="4">
        <v>5.5</v>
      </c>
      <c r="I21" s="20">
        <f>G21-E21</f>
        <v>7.907500000000001</v>
      </c>
      <c r="J21" s="22">
        <f t="shared" si="5"/>
        <v>1.9768750000000002</v>
      </c>
      <c r="K21" s="20">
        <f t="shared" si="7"/>
        <v>0.4763</v>
      </c>
      <c r="L21" s="27">
        <f>B21*16/$A$3/8</f>
        <v>0.16</v>
      </c>
      <c r="M21" s="24" t="s">
        <v>16</v>
      </c>
    </row>
    <row r="26" spans="1:6" ht="29.25" customHeight="1">
      <c r="A26" s="39" t="s">
        <v>39</v>
      </c>
      <c r="B26" s="40"/>
      <c r="C26" s="40"/>
      <c r="D26" s="40"/>
      <c r="E26" s="40"/>
      <c r="F26" s="41"/>
    </row>
    <row r="27" spans="1:10" ht="36.75" customHeight="1">
      <c r="A27" s="31"/>
      <c r="B27" s="32" t="s">
        <v>45</v>
      </c>
      <c r="C27" s="33" t="s">
        <v>30</v>
      </c>
      <c r="D27" s="33" t="s">
        <v>31</v>
      </c>
      <c r="E27" s="33" t="s">
        <v>32</v>
      </c>
      <c r="F27" s="34"/>
      <c r="H27" s="12"/>
      <c r="I27" s="12"/>
      <c r="J27" s="12"/>
    </row>
    <row r="28" spans="1:10" ht="15">
      <c r="A28" s="31" t="s">
        <v>33</v>
      </c>
      <c r="B28" s="5">
        <v>54.3</v>
      </c>
      <c r="C28" s="5">
        <v>54.3</v>
      </c>
      <c r="D28" s="5">
        <v>54.3</v>
      </c>
      <c r="E28" s="5">
        <v>72.9</v>
      </c>
      <c r="F28" s="35"/>
      <c r="H28" s="12"/>
      <c r="I28" s="12"/>
      <c r="J28" s="12"/>
    </row>
    <row r="29" spans="1:10" ht="15">
      <c r="A29" s="31" t="s">
        <v>34</v>
      </c>
      <c r="B29" s="5">
        <v>46.2</v>
      </c>
      <c r="C29" s="5">
        <v>25</v>
      </c>
      <c r="D29" s="5">
        <v>13.2</v>
      </c>
      <c r="E29" s="5">
        <v>72.9</v>
      </c>
      <c r="F29" s="36"/>
      <c r="H29" s="12"/>
      <c r="I29" s="12"/>
      <c r="J29" s="12"/>
    </row>
    <row r="30" spans="1:10" ht="15">
      <c r="A30" s="31" t="s">
        <v>35</v>
      </c>
      <c r="B30" s="29">
        <f>IF(B28&gt;0,ROUND(((B28-B29)/B28),3),0)</f>
        <v>0.149</v>
      </c>
      <c r="C30" s="29">
        <f>IF(C28&gt;0,ROUND(((C28-C29)/C28),3),0)</f>
        <v>0.54</v>
      </c>
      <c r="D30" s="29">
        <f>IF(D28&gt;0,ROUND(((D28-D29)/D28),3),0)</f>
        <v>0.757</v>
      </c>
      <c r="E30" s="29">
        <f>IF(E28&gt;0,ROUND(((E28-E29)/E28),3),0)</f>
        <v>0</v>
      </c>
      <c r="F30" s="38" t="s">
        <v>40</v>
      </c>
      <c r="H30" s="12"/>
      <c r="I30" s="12"/>
      <c r="J30" s="12"/>
    </row>
    <row r="31" spans="1:10" ht="15" customHeight="1">
      <c r="A31" s="31" t="s">
        <v>36</v>
      </c>
      <c r="B31" s="29">
        <f>IF(B28&gt;0,ROUND((B29/B28),3),0)</f>
        <v>0.851</v>
      </c>
      <c r="C31" s="29">
        <f>IF(C28&gt;0,ROUND((C29/C28),3),0)</f>
        <v>0.46</v>
      </c>
      <c r="D31" s="29">
        <f>IF(D28&gt;0,ROUND((D29/D28),3),0)</f>
        <v>0.243</v>
      </c>
      <c r="E31" s="29">
        <f>IF(E28&gt;0,ROUND((E29/E28),3),0)</f>
        <v>1</v>
      </c>
      <c r="F31" s="38"/>
      <c r="H31" s="12"/>
      <c r="I31" s="12"/>
      <c r="J31" s="12"/>
    </row>
    <row r="32" spans="1:10" ht="15">
      <c r="A32" s="31" t="s">
        <v>37</v>
      </c>
      <c r="B32" s="5">
        <v>27.5</v>
      </c>
      <c r="C32" s="5">
        <v>16.5</v>
      </c>
      <c r="D32" s="5">
        <v>7.2</v>
      </c>
      <c r="E32" s="5">
        <v>47.3</v>
      </c>
      <c r="F32" s="38"/>
      <c r="H32" s="12"/>
      <c r="I32" s="12"/>
      <c r="J32" s="12"/>
    </row>
    <row r="33" spans="1:6" ht="15">
      <c r="A33" s="31" t="s">
        <v>38</v>
      </c>
      <c r="B33" s="29">
        <f>IF(B29&gt;0,ROUND((B32/B29),3),0)</f>
        <v>0.595</v>
      </c>
      <c r="C33" s="29">
        <f>IF(C29&gt;0,ROUND((C32/C29),3),0)</f>
        <v>0.66</v>
      </c>
      <c r="D33" s="29">
        <f>IF(D29&gt;0,ROUND((D32/D29),3),0)</f>
        <v>0.545</v>
      </c>
      <c r="E33" s="29">
        <f>IF(E29&gt;0,ROUND((E32/E29),3),0)</f>
        <v>0.649</v>
      </c>
      <c r="F33" s="30">
        <f>MEDIAN(B33:E33)</f>
        <v>0.622</v>
      </c>
    </row>
  </sheetData>
  <sheetProtection password="C703" sheet="1" objects="1" scenarios="1"/>
  <mergeCells count="3">
    <mergeCell ref="F30:F32"/>
    <mergeCell ref="A26:F26"/>
    <mergeCell ref="L6:M6"/>
  </mergeCells>
  <printOptions horizontalCentered="1"/>
  <pageMargins left="0.75" right="0.75" top="0.75" bottom="0.75" header="0.5" footer="0.5"/>
  <pageSetup fitToHeight="1" fitToWidth="1"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Trump</dc:creator>
  <cp:keywords/>
  <dc:description/>
  <cp:lastModifiedBy>Scott</cp:lastModifiedBy>
  <cp:lastPrinted>2004-06-05T03:12:35Z</cp:lastPrinted>
  <dcterms:created xsi:type="dcterms:W3CDTF">2004-04-02T19:51:53Z</dcterms:created>
  <dcterms:modified xsi:type="dcterms:W3CDTF">2006-05-12T20:53:23Z</dcterms:modified>
  <cp:category/>
  <cp:version/>
  <cp:contentType/>
  <cp:contentStatus/>
</cp:coreProperties>
</file>